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9155" windowHeight="7485"/>
  </bookViews>
  <sheets>
    <sheet name="Assumptions" sheetId="1" r:id="rId1"/>
    <sheet name="Financing" sheetId="3" r:id="rId2"/>
    <sheet name="Cashflow" sheetId="2" r:id="rId3"/>
    <sheet name="Returns" sheetId="4" r:id="rId4"/>
  </sheets>
  <calcPr calcId="145621"/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C7" i="2"/>
  <c r="B7" i="2"/>
  <c r="C5" i="2"/>
  <c r="D5" i="2"/>
  <c r="E5" i="2"/>
  <c r="F5" i="2"/>
  <c r="G5" i="2"/>
  <c r="H5" i="2"/>
  <c r="I5" i="2"/>
  <c r="J5" i="2"/>
  <c r="K5" i="2"/>
  <c r="L5" i="2"/>
  <c r="B5" i="2"/>
  <c r="C3" i="2"/>
  <c r="D3" i="2"/>
  <c r="E3" i="2"/>
  <c r="F3" i="2"/>
  <c r="G3" i="2"/>
  <c r="H3" i="2"/>
  <c r="I3" i="2"/>
  <c r="J3" i="2"/>
  <c r="K3" i="2"/>
  <c r="L3" i="2"/>
  <c r="B3" i="2"/>
  <c r="C3" i="4"/>
  <c r="C18" i="2"/>
  <c r="D18" i="2"/>
  <c r="E18" i="2"/>
  <c r="F18" i="2"/>
  <c r="G18" i="2"/>
  <c r="H18" i="2"/>
  <c r="I18" i="2"/>
  <c r="J18" i="2"/>
  <c r="K18" i="2"/>
  <c r="B18" i="2"/>
  <c r="B22" i="3"/>
  <c r="B4" i="3"/>
  <c r="B8" i="2"/>
  <c r="C8" i="2" s="1"/>
  <c r="L9" i="2"/>
  <c r="B2" i="3"/>
  <c r="B3" i="3" s="1"/>
  <c r="B9" i="1"/>
  <c r="E9" i="2" l="1"/>
  <c r="B9" i="2"/>
  <c r="C9" i="2"/>
  <c r="C11" i="2" s="1"/>
  <c r="K9" i="2"/>
  <c r="J9" i="2"/>
  <c r="I9" i="2"/>
  <c r="G9" i="2"/>
  <c r="F9" i="2"/>
  <c r="D9" i="2"/>
  <c r="D8" i="2"/>
  <c r="C10" i="2"/>
  <c r="B10" i="2"/>
  <c r="H9" i="2"/>
  <c r="B5" i="3"/>
  <c r="B11" i="2" l="1"/>
  <c r="B12" i="2" s="1"/>
  <c r="B13" i="2" s="1"/>
  <c r="B15" i="2" s="1"/>
  <c r="E8" i="2"/>
  <c r="D10" i="2"/>
  <c r="C12" i="2"/>
  <c r="C13" i="2" s="1"/>
  <c r="C15" i="2" s="1"/>
  <c r="C22" i="2" s="1"/>
  <c r="B18" i="3"/>
  <c r="B19" i="3"/>
  <c r="B8" i="3"/>
  <c r="B9" i="3"/>
  <c r="D11" i="2"/>
  <c r="B22" i="2" l="1"/>
  <c r="F8" i="2"/>
  <c r="E10" i="2"/>
  <c r="D12" i="2"/>
  <c r="D13" i="2" s="1"/>
  <c r="D15" i="2" s="1"/>
  <c r="D22" i="2" s="1"/>
  <c r="D19" i="3"/>
  <c r="C19" i="3"/>
  <c r="C18" i="3"/>
  <c r="C20" i="3" s="1"/>
  <c r="B20" i="3"/>
  <c r="D18" i="3"/>
  <c r="B14" i="3"/>
  <c r="B15" i="3" s="1"/>
  <c r="G3" i="3"/>
  <c r="E11" i="2"/>
  <c r="E12" i="2" l="1"/>
  <c r="E13" i="2" s="1"/>
  <c r="E15" i="2" s="1"/>
  <c r="E22" i="2" s="1"/>
  <c r="G8" i="2"/>
  <c r="F10" i="2"/>
  <c r="G23" i="2"/>
  <c r="J23" i="2"/>
  <c r="H23" i="2"/>
  <c r="K23" i="2"/>
  <c r="I23" i="2"/>
  <c r="C23" i="2"/>
  <c r="C24" i="2" s="1"/>
  <c r="D23" i="2"/>
  <c r="D24" i="2" s="1"/>
  <c r="B23" i="2"/>
  <c r="B24" i="2" s="1"/>
  <c r="E23" i="2"/>
  <c r="F23" i="2"/>
  <c r="D20" i="3"/>
  <c r="E4" i="3"/>
  <c r="G4" i="3" s="1"/>
  <c r="E5" i="3" s="1"/>
  <c r="F12" i="3"/>
  <c r="J16" i="2" s="1"/>
  <c r="F5" i="3"/>
  <c r="C16" i="2" s="1"/>
  <c r="F8" i="3"/>
  <c r="F16" i="2" s="1"/>
  <c r="F11" i="3"/>
  <c r="I16" i="2" s="1"/>
  <c r="F4" i="3"/>
  <c r="B16" i="2" s="1"/>
  <c r="B19" i="2" s="1"/>
  <c r="B20" i="2" s="1"/>
  <c r="F9" i="3"/>
  <c r="G16" i="2" s="1"/>
  <c r="F7" i="3"/>
  <c r="E16" i="2" s="1"/>
  <c r="F10" i="3"/>
  <c r="H16" i="2" s="1"/>
  <c r="F6" i="3"/>
  <c r="D16" i="2" s="1"/>
  <c r="F13" i="3"/>
  <c r="K16" i="2" s="1"/>
  <c r="K17" i="2"/>
  <c r="B17" i="2"/>
  <c r="F11" i="2"/>
  <c r="E24" i="2" l="1"/>
  <c r="F12" i="2"/>
  <c r="F13" i="2" s="1"/>
  <c r="F15" i="2" s="1"/>
  <c r="F22" i="2" s="1"/>
  <c r="F24" i="2" s="1"/>
  <c r="H8" i="2"/>
  <c r="G10" i="2"/>
  <c r="G5" i="3"/>
  <c r="E6" i="3" s="1"/>
  <c r="G6" i="3" s="1"/>
  <c r="E7" i="3" s="1"/>
  <c r="G7" i="3" s="1"/>
  <c r="D17" i="2"/>
  <c r="D19" i="2" s="1"/>
  <c r="D20" i="2" s="1"/>
  <c r="D25" i="2" s="1"/>
  <c r="D26" i="2" s="1"/>
  <c r="C6" i="4" s="1"/>
  <c r="E17" i="2"/>
  <c r="E19" i="2" s="1"/>
  <c r="E20" i="2" s="1"/>
  <c r="E25" i="2" s="1"/>
  <c r="F17" i="2"/>
  <c r="G17" i="2"/>
  <c r="H17" i="2"/>
  <c r="I17" i="2"/>
  <c r="J17" i="2"/>
  <c r="C17" i="2"/>
  <c r="C19" i="2" s="1"/>
  <c r="C20" i="2" s="1"/>
  <c r="C25" i="2" s="1"/>
  <c r="C26" i="2" s="1"/>
  <c r="C5" i="4" s="1"/>
  <c r="B25" i="2"/>
  <c r="B26" i="2" s="1"/>
  <c r="C4" i="4" s="1"/>
  <c r="G11" i="2"/>
  <c r="E26" i="2" l="1"/>
  <c r="C7" i="4" s="1"/>
  <c r="G12" i="2"/>
  <c r="G13" i="2" s="1"/>
  <c r="G15" i="2" s="1"/>
  <c r="F19" i="2"/>
  <c r="F20" i="2" s="1"/>
  <c r="F25" i="2" s="1"/>
  <c r="F26" i="2" s="1"/>
  <c r="C8" i="4" s="1"/>
  <c r="I8" i="2"/>
  <c r="H10" i="2"/>
  <c r="E8" i="3"/>
  <c r="G8" i="3" s="1"/>
  <c r="H11" i="2"/>
  <c r="G19" i="2" l="1"/>
  <c r="G20" i="2" s="1"/>
  <c r="G25" i="2" s="1"/>
  <c r="G22" i="2"/>
  <c r="G24" i="2" s="1"/>
  <c r="H12" i="2"/>
  <c r="H13" i="2" s="1"/>
  <c r="H15" i="2" s="1"/>
  <c r="H19" i="2" s="1"/>
  <c r="H20" i="2" s="1"/>
  <c r="H25" i="2" s="1"/>
  <c r="J8" i="2"/>
  <c r="I10" i="2"/>
  <c r="I11" i="2"/>
  <c r="G26" i="2" l="1"/>
  <c r="C9" i="4" s="1"/>
  <c r="H22" i="2"/>
  <c r="H24" i="2" s="1"/>
  <c r="H26" i="2" s="1"/>
  <c r="C10" i="4" s="1"/>
  <c r="I12" i="2"/>
  <c r="I13" i="2" s="1"/>
  <c r="I15" i="2" s="1"/>
  <c r="K8" i="2"/>
  <c r="J10" i="2"/>
  <c r="E9" i="3"/>
  <c r="G9" i="3" s="1"/>
  <c r="J11" i="2"/>
  <c r="I22" i="2" l="1"/>
  <c r="I24" i="2" s="1"/>
  <c r="I19" i="2"/>
  <c r="I20" i="2" s="1"/>
  <c r="I25" i="2" s="1"/>
  <c r="J12" i="2"/>
  <c r="J13" i="2" s="1"/>
  <c r="J15" i="2" s="1"/>
  <c r="J19" i="2" s="1"/>
  <c r="J20" i="2" s="1"/>
  <c r="J25" i="2" s="1"/>
  <c r="L8" i="2"/>
  <c r="L10" i="2" s="1"/>
  <c r="K10" i="2"/>
  <c r="L11" i="2"/>
  <c r="K11" i="2"/>
  <c r="I26" i="2" l="1"/>
  <c r="C11" i="4" s="1"/>
  <c r="K12" i="2"/>
  <c r="K13" i="2" s="1"/>
  <c r="K15" i="2" s="1"/>
  <c r="L12" i="2"/>
  <c r="L13" i="2" s="1"/>
  <c r="L15" i="2" s="1"/>
  <c r="J22" i="2"/>
  <c r="J24" i="2" s="1"/>
  <c r="J26" i="2" s="1"/>
  <c r="C12" i="4" s="1"/>
  <c r="E10" i="3"/>
  <c r="G10" i="3" s="1"/>
  <c r="K19" i="2" l="1"/>
  <c r="K20" i="2" s="1"/>
  <c r="K25" i="2" s="1"/>
  <c r="K22" i="2"/>
  <c r="K24" i="2" s="1"/>
  <c r="K26" i="2" l="1"/>
  <c r="C13" i="4" s="1"/>
  <c r="C15" i="4" s="1"/>
  <c r="E11" i="3"/>
  <c r="G11" i="3" s="1"/>
  <c r="E12" i="3" l="1"/>
  <c r="G12" i="3" s="1"/>
  <c r="E13" i="3" l="1"/>
  <c r="G13" i="3" s="1"/>
</calcChain>
</file>

<file path=xl/sharedStrings.xml><?xml version="1.0" encoding="utf-8"?>
<sst xmlns="http://schemas.openxmlformats.org/spreadsheetml/2006/main" count="66" uniqueCount="63">
  <si>
    <t>Foch Street Adaptive Reuse</t>
  </si>
  <si>
    <t>Proposal: Redevelop Building 2 into 5 level mixed use</t>
  </si>
  <si>
    <t>Levels 2-5: 1000 SF 2-1 apartments - 60 units per floor</t>
  </si>
  <si>
    <t>Level 1 parking is a 1:1 ratio per apartment</t>
  </si>
  <si>
    <t>Cost to construct @ $90/SF</t>
  </si>
  <si>
    <t>Total Units</t>
  </si>
  <si>
    <t xml:space="preserve">Average unit SF </t>
  </si>
  <si>
    <t>Average Residential Rent/SF</t>
  </si>
  <si>
    <t>Average Residential Occupancy</t>
  </si>
  <si>
    <t>Average Retail Occupancy</t>
  </si>
  <si>
    <t>Current Retail Rent NNN</t>
  </si>
  <si>
    <t>Rent for this project</t>
  </si>
  <si>
    <t>Occupancy</t>
  </si>
  <si>
    <t>= EGI</t>
  </si>
  <si>
    <t>-OE</t>
  </si>
  <si>
    <t>= NOI</t>
  </si>
  <si>
    <t>NOI</t>
  </si>
  <si>
    <t>- Mortgage Interest</t>
  </si>
  <si>
    <t>- Cost Recovery</t>
  </si>
  <si>
    <t>- Amort Loan Fees</t>
  </si>
  <si>
    <t>= Taxable Income</t>
  </si>
  <si>
    <t>Tax Liability (Savings)</t>
  </si>
  <si>
    <t>-ADS</t>
  </si>
  <si>
    <t>= BTCF</t>
  </si>
  <si>
    <t>- Tax Liability (Savings)</t>
  </si>
  <si>
    <t>= ATCF</t>
  </si>
  <si>
    <t>Operating Expenses</t>
  </si>
  <si>
    <t>Construction Costs</t>
  </si>
  <si>
    <t>Development Costs (5%)</t>
  </si>
  <si>
    <t>Financing Costs</t>
  </si>
  <si>
    <t>Total Project Cost</t>
  </si>
  <si>
    <t xml:space="preserve">LTV </t>
  </si>
  <si>
    <t>Required Equity</t>
  </si>
  <si>
    <t>Loan Amount</t>
  </si>
  <si>
    <t>I/Y</t>
  </si>
  <si>
    <t>Amortization Period</t>
  </si>
  <si>
    <t>Term</t>
  </si>
  <si>
    <t>Payments</t>
  </si>
  <si>
    <t>ADS</t>
  </si>
  <si>
    <t>Annual Growth</t>
  </si>
  <si>
    <t>PGI (residential)</t>
  </si>
  <si>
    <t>PGI (retail)</t>
  </si>
  <si>
    <t>- VCL (residential)</t>
  </si>
  <si>
    <t>- VCL (retail)</t>
  </si>
  <si>
    <t>Average Retail Unit SF</t>
  </si>
  <si>
    <t>Projected Retail Rent NNN</t>
  </si>
  <si>
    <t>Year</t>
  </si>
  <si>
    <t>Beg Balance</t>
  </si>
  <si>
    <t>Interest Paid</t>
  </si>
  <si>
    <t>End Balance</t>
  </si>
  <si>
    <t>Residential Cost Basis</t>
  </si>
  <si>
    <t>Retail Cost Basis</t>
  </si>
  <si>
    <t>Dep Y1/10</t>
  </si>
  <si>
    <t>Dep Y2-9</t>
  </si>
  <si>
    <t>Total</t>
  </si>
  <si>
    <t>Annual Amort Loan Fees</t>
  </si>
  <si>
    <t>After Tax IRR</t>
  </si>
  <si>
    <t>IRR</t>
  </si>
  <si>
    <t>Retail Units Built</t>
  </si>
  <si>
    <t>Residential Units Built</t>
  </si>
  <si>
    <t>Percent of Total</t>
  </si>
  <si>
    <t>Level 1: 3/4 parking, 1/4 retail (parking garage in interior for residents)</t>
  </si>
  <si>
    <t>Total SF (5 stories)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</si>
</sst>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0" fontId="0" fillId="0" borderId="0" xfId="0" applyNumberFormat="1"/>
    <xf numFmtId="9" fontId="0" fillId="0" borderId="0" xfId="3" applyFont="1"/>
    <xf numFmtId="166" fontId="0" fillId="0" borderId="0" xfId="3" applyNumberFormat="1" applyFont="1"/>
    <xf numFmtId="0" fontId="0" fillId="0" borderId="0" xfId="0" applyAlignment="1">
      <alignment horizontal="center"/>
    </xf>
    <xf numFmtId="0" fontId="0" fillId="0" borderId="0" xfId="0" quotePrefix="1"/>
    <xf numFmtId="165" fontId="0" fillId="0" borderId="0" xfId="0" applyNumberFormat="1"/>
    <xf numFmtId="9" fontId="0" fillId="0" borderId="0" xfId="0" applyNumberFormat="1"/>
    <xf numFmtId="6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A9" sqref="A9"/>
    </sheetView>
  </sheetViews>
  <sheetFormatPr defaultRowHeight="15" x14ac:dyDescent="0.25"/>
  <cols>
    <col min="1" max="1" width="33" customWidth="1"/>
    <col min="2" max="2" width="14.42578125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61</v>
      </c>
    </row>
    <row r="5" spans="1:2" x14ac:dyDescent="0.25">
      <c r="A5" t="s">
        <v>2</v>
      </c>
    </row>
    <row r="6" spans="1:2" x14ac:dyDescent="0.25">
      <c r="A6" t="s">
        <v>3</v>
      </c>
    </row>
    <row r="8" spans="1:2" x14ac:dyDescent="0.25">
      <c r="A8" t="s">
        <v>62</v>
      </c>
      <c r="B8" s="1">
        <v>400000</v>
      </c>
    </row>
    <row r="9" spans="1:2" x14ac:dyDescent="0.25">
      <c r="A9" t="s">
        <v>4</v>
      </c>
      <c r="B9" s="3">
        <f>B8*90</f>
        <v>36000000</v>
      </c>
    </row>
    <row r="10" spans="1:2" x14ac:dyDescent="0.25">
      <c r="A10" t="s">
        <v>5</v>
      </c>
      <c r="B10" s="1">
        <v>240</v>
      </c>
    </row>
    <row r="11" spans="1:2" x14ac:dyDescent="0.25">
      <c r="A11" t="s">
        <v>6</v>
      </c>
      <c r="B11" s="1">
        <v>1000</v>
      </c>
    </row>
    <row r="12" spans="1:2" x14ac:dyDescent="0.25">
      <c r="A12" t="s">
        <v>7</v>
      </c>
      <c r="B12" s="2">
        <v>1.52</v>
      </c>
    </row>
    <row r="13" spans="1:2" x14ac:dyDescent="0.25">
      <c r="A13" t="s">
        <v>8</v>
      </c>
      <c r="B13" s="6">
        <v>0.93500000000000005</v>
      </c>
    </row>
    <row r="14" spans="1:2" x14ac:dyDescent="0.25">
      <c r="A14" t="s">
        <v>11</v>
      </c>
      <c r="B14" s="2">
        <v>1.6</v>
      </c>
    </row>
    <row r="15" spans="1:2" x14ac:dyDescent="0.25">
      <c r="A15" t="s">
        <v>12</v>
      </c>
      <c r="B15" s="5">
        <v>0.95</v>
      </c>
    </row>
    <row r="17" spans="1:2" x14ac:dyDescent="0.25">
      <c r="A17" t="s">
        <v>10</v>
      </c>
      <c r="B17" s="2">
        <v>14.5</v>
      </c>
    </row>
    <row r="18" spans="1:2" x14ac:dyDescent="0.25">
      <c r="A18" t="s">
        <v>45</v>
      </c>
      <c r="B18" s="2">
        <v>19.5</v>
      </c>
    </row>
    <row r="19" spans="1:2" x14ac:dyDescent="0.25">
      <c r="A19" t="s">
        <v>9</v>
      </c>
      <c r="B19" s="6">
        <v>0.92700000000000005</v>
      </c>
    </row>
    <row r="20" spans="1:2" x14ac:dyDescent="0.25">
      <c r="A20" t="s">
        <v>44</v>
      </c>
      <c r="B20">
        <v>2000</v>
      </c>
    </row>
    <row r="21" spans="1:2" x14ac:dyDescent="0.25">
      <c r="A21" t="s">
        <v>5</v>
      </c>
      <c r="B21">
        <v>10</v>
      </c>
    </row>
    <row r="23" spans="1:2" x14ac:dyDescent="0.25">
      <c r="A23" t="s">
        <v>26</v>
      </c>
      <c r="B23" s="5">
        <v>0.05</v>
      </c>
    </row>
    <row r="24" spans="1:2" x14ac:dyDescent="0.25">
      <c r="A24" t="s">
        <v>39</v>
      </c>
      <c r="B24" s="10">
        <v>0.02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D22" sqref="D22"/>
    </sheetView>
  </sheetViews>
  <sheetFormatPr defaultRowHeight="15" x14ac:dyDescent="0.25"/>
  <cols>
    <col min="1" max="1" width="24.7109375" customWidth="1"/>
    <col min="2" max="2" width="14.7109375" customWidth="1"/>
    <col min="3" max="3" width="12.7109375" customWidth="1"/>
    <col min="4" max="4" width="12.5703125" style="7" customWidth="1"/>
    <col min="5" max="5" width="16.7109375" customWidth="1"/>
    <col min="6" max="6" width="15.5703125" customWidth="1"/>
    <col min="7" max="7" width="14.7109375" customWidth="1"/>
  </cols>
  <sheetData>
    <row r="2" spans="1:7" x14ac:dyDescent="0.25">
      <c r="A2" t="s">
        <v>27</v>
      </c>
      <c r="B2" s="3">
        <f>Assumptions!B9</f>
        <v>36000000</v>
      </c>
      <c r="D2" s="7" t="s">
        <v>46</v>
      </c>
      <c r="E2" t="s">
        <v>47</v>
      </c>
      <c r="F2" t="s">
        <v>48</v>
      </c>
      <c r="G2" t="s">
        <v>49</v>
      </c>
    </row>
    <row r="3" spans="1:7" x14ac:dyDescent="0.25">
      <c r="A3" t="s">
        <v>28</v>
      </c>
      <c r="B3" s="9">
        <f>B2*0.05</f>
        <v>1800000</v>
      </c>
      <c r="D3" s="7">
        <v>0</v>
      </c>
      <c r="G3" s="9">
        <f>B8</f>
        <v>31971600</v>
      </c>
    </row>
    <row r="4" spans="1:7" x14ac:dyDescent="0.25">
      <c r="A4" t="s">
        <v>29</v>
      </c>
      <c r="B4" s="9">
        <f>B2*0.02</f>
        <v>720000</v>
      </c>
      <c r="D4" s="7">
        <v>1</v>
      </c>
      <c r="E4" s="3">
        <f>G3</f>
        <v>31971600</v>
      </c>
      <c r="F4" s="3">
        <f>-CUMIPMT($B$11/12,$B$12*12,$G3,1,12,0)</f>
        <v>1318997.3873538445</v>
      </c>
      <c r="G4" s="3">
        <f>E4-($B$15-F4)</f>
        <v>31557160.922141057</v>
      </c>
    </row>
    <row r="5" spans="1:7" x14ac:dyDescent="0.25">
      <c r="A5" t="s">
        <v>30</v>
      </c>
      <c r="B5" s="9">
        <f>SUM(B2:B4)</f>
        <v>38520000</v>
      </c>
      <c r="D5" s="7">
        <v>2</v>
      </c>
      <c r="E5" s="3">
        <f>G4</f>
        <v>31557160.922141057</v>
      </c>
      <c r="F5" s="3">
        <f>-CUMIPMT($B$11/12,$B$12*12,$G3,13,24,0)</f>
        <v>1301467.2213467942</v>
      </c>
      <c r="G5" s="3">
        <f t="shared" ref="G5:G13" si="0">E5-($B$15-F5)</f>
        <v>31125191.678275064</v>
      </c>
    </row>
    <row r="6" spans="1:7" x14ac:dyDescent="0.25">
      <c r="D6" s="7">
        <v>3</v>
      </c>
      <c r="E6" s="3">
        <f>G5</f>
        <v>31125191.678275064</v>
      </c>
      <c r="F6" s="3">
        <f>-CUMIPMT($B$11/12,$B$12*12,$G$3,25,36,0)</f>
        <v>1283195.5549922804</v>
      </c>
      <c r="G6" s="3">
        <f t="shared" si="0"/>
        <v>30674950.768054556</v>
      </c>
    </row>
    <row r="7" spans="1:7" x14ac:dyDescent="0.25">
      <c r="A7" t="s">
        <v>31</v>
      </c>
      <c r="B7" s="10">
        <v>0.83</v>
      </c>
      <c r="D7" s="7">
        <v>4</v>
      </c>
      <c r="E7" s="3">
        <f>G6</f>
        <v>30674950.768054556</v>
      </c>
      <c r="F7" s="3">
        <f>-CUMIPMT($B$11/12,$B$12*12,$G$3,37,48,0)</f>
        <v>1264151.0239116056</v>
      </c>
      <c r="G7" s="3">
        <f t="shared" si="0"/>
        <v>30205665.326753374</v>
      </c>
    </row>
    <row r="8" spans="1:7" x14ac:dyDescent="0.25">
      <c r="A8" t="s">
        <v>33</v>
      </c>
      <c r="B8" s="9">
        <f>B5*B7</f>
        <v>31971600</v>
      </c>
      <c r="D8" s="7">
        <v>5</v>
      </c>
      <c r="E8" s="3">
        <f>G7</f>
        <v>30205665.326753374</v>
      </c>
      <c r="F8" s="3">
        <f>-CUMIPMT($B$11/12,$B$12*12,$G$3,49,60,0)</f>
        <v>1244300.9370587883</v>
      </c>
      <c r="G8" s="3">
        <f t="shared" si="0"/>
        <v>29716529.798599374</v>
      </c>
    </row>
    <row r="9" spans="1:7" x14ac:dyDescent="0.25">
      <c r="A9" t="s">
        <v>32</v>
      </c>
      <c r="B9" s="3">
        <f>B5*(1-B7)</f>
        <v>6548400.0000000019</v>
      </c>
      <c r="D9" s="7">
        <v>6</v>
      </c>
      <c r="E9" s="3">
        <f t="shared" ref="E9:E13" si="1">G8</f>
        <v>29716529.798599374</v>
      </c>
      <c r="F9" s="3">
        <f>-CUMIPMT($B$11/12,$B$12*12,$G$3,61,72,0)</f>
        <v>1223611.2206044819</v>
      </c>
      <c r="G9" s="3">
        <f t="shared" si="0"/>
        <v>29206704.553991068</v>
      </c>
    </row>
    <row r="10" spans="1:7" x14ac:dyDescent="0.25">
      <c r="D10" s="7">
        <v>7</v>
      </c>
      <c r="E10" s="3">
        <f t="shared" si="1"/>
        <v>29206704.553991068</v>
      </c>
      <c r="F10" s="3">
        <f>-CUMIPMT($B$11/12,$B$12*12,$G$3,73,84,0)</f>
        <v>1202046.3594462622</v>
      </c>
      <c r="G10" s="3">
        <f t="shared" si="0"/>
        <v>28675314.448224541</v>
      </c>
    </row>
    <row r="11" spans="1:7" x14ac:dyDescent="0.25">
      <c r="A11" t="s">
        <v>34</v>
      </c>
      <c r="B11" s="4">
        <v>4.1500000000000002E-2</v>
      </c>
      <c r="D11" s="7">
        <v>8</v>
      </c>
      <c r="E11" s="3">
        <f t="shared" si="1"/>
        <v>28675314.448224541</v>
      </c>
      <c r="F11" s="3">
        <f>-CUMIPMT($B$11/12,$B$12*12,$G$3,85,96,0)</f>
        <v>1179569.3362448891</v>
      </c>
      <c r="G11" s="3">
        <f t="shared" si="0"/>
        <v>28121447.319256641</v>
      </c>
    </row>
    <row r="12" spans="1:7" x14ac:dyDescent="0.25">
      <c r="A12" t="s">
        <v>35</v>
      </c>
      <c r="B12">
        <v>35</v>
      </c>
      <c r="D12" s="7">
        <v>9</v>
      </c>
      <c r="E12" s="3">
        <f t="shared" si="1"/>
        <v>28121447.319256641</v>
      </c>
      <c r="F12" s="3">
        <f>-CUMIPMT($B$11/12,$B$12*12,$G$3,97,108,0)</f>
        <v>1156141.5678818868</v>
      </c>
      <c r="G12" s="3">
        <f t="shared" si="0"/>
        <v>27544152.421925738</v>
      </c>
    </row>
    <row r="13" spans="1:7" x14ac:dyDescent="0.25">
      <c r="A13" t="s">
        <v>36</v>
      </c>
      <c r="B13">
        <v>35</v>
      </c>
      <c r="D13" s="7">
        <v>10</v>
      </c>
      <c r="E13" s="3">
        <f t="shared" si="1"/>
        <v>27544152.421925738</v>
      </c>
      <c r="F13" s="3">
        <f>-CUMIPMT($B$11/12,$B$12*12,$G$3,109,120,0)</f>
        <v>1131722.8392293775</v>
      </c>
      <c r="G13" s="3">
        <f t="shared" si="0"/>
        <v>26942438.795942329</v>
      </c>
    </row>
    <row r="14" spans="1:7" x14ac:dyDescent="0.25">
      <c r="A14" t="s">
        <v>37</v>
      </c>
      <c r="B14" s="11">
        <f>PMT(B11/12,B12*12,-B8)</f>
        <v>144453.03876773242</v>
      </c>
    </row>
    <row r="15" spans="1:7" x14ac:dyDescent="0.25">
      <c r="A15" t="s">
        <v>38</v>
      </c>
      <c r="B15" s="11">
        <f>B14*12</f>
        <v>1733436.4652127889</v>
      </c>
    </row>
    <row r="17" spans="1:4" x14ac:dyDescent="0.25">
      <c r="C17" t="s">
        <v>52</v>
      </c>
      <c r="D17" s="7" t="s">
        <v>53</v>
      </c>
    </row>
    <row r="18" spans="1:4" x14ac:dyDescent="0.25">
      <c r="A18" t="s">
        <v>50</v>
      </c>
      <c r="B18" s="3">
        <f>B5*0.95</f>
        <v>36594000</v>
      </c>
      <c r="C18" s="9">
        <f>B18*0.03485</f>
        <v>1275300.8999999999</v>
      </c>
      <c r="D18" s="13">
        <f>B18*0.03636</f>
        <v>1330557.8400000001</v>
      </c>
    </row>
    <row r="19" spans="1:4" x14ac:dyDescent="0.25">
      <c r="A19" t="s">
        <v>51</v>
      </c>
      <c r="B19" s="9">
        <f>B5*0.05</f>
        <v>1926000</v>
      </c>
      <c r="C19" s="9">
        <f>B19*0.02457</f>
        <v>47321.82</v>
      </c>
      <c r="D19" s="13">
        <f>B19*0.02564</f>
        <v>49382.64</v>
      </c>
    </row>
    <row r="20" spans="1:4" x14ac:dyDescent="0.25">
      <c r="A20" t="s">
        <v>54</v>
      </c>
      <c r="B20" s="9">
        <f>B18+B19</f>
        <v>38520000</v>
      </c>
      <c r="C20" s="9">
        <f t="shared" ref="C20:D20" si="2">C18+C19</f>
        <v>1322622.72</v>
      </c>
      <c r="D20" s="9">
        <f t="shared" si="2"/>
        <v>1379940.48</v>
      </c>
    </row>
    <row r="22" spans="1:4" x14ac:dyDescent="0.25">
      <c r="A22" t="s">
        <v>55</v>
      </c>
      <c r="B22" s="9">
        <f>B4/B13</f>
        <v>20571.428571428572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13" sqref="B13"/>
    </sheetView>
  </sheetViews>
  <sheetFormatPr defaultRowHeight="15" x14ac:dyDescent="0.25"/>
  <cols>
    <col min="1" max="1" width="21.42578125" bestFit="1" customWidth="1"/>
    <col min="2" max="2" width="12.5703125" bestFit="1" customWidth="1"/>
    <col min="3" max="6" width="12.140625" bestFit="1" customWidth="1"/>
    <col min="7" max="12" width="12.5703125" bestFit="1" customWidth="1"/>
  </cols>
  <sheetData>
    <row r="1" spans="1:12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</row>
    <row r="2" spans="1:12" x14ac:dyDescent="0.25">
      <c r="A2" t="s">
        <v>58</v>
      </c>
      <c r="B2">
        <v>10</v>
      </c>
      <c r="C2">
        <v>10</v>
      </c>
      <c r="D2">
        <v>10</v>
      </c>
      <c r="E2">
        <v>10</v>
      </c>
      <c r="F2">
        <v>10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</row>
    <row r="3" spans="1:12" x14ac:dyDescent="0.25">
      <c r="A3" t="s">
        <v>60</v>
      </c>
      <c r="B3" s="5">
        <f>B2/10</f>
        <v>1</v>
      </c>
      <c r="C3" s="5">
        <f t="shared" ref="C3:L3" si="0">C2/10</f>
        <v>1</v>
      </c>
      <c r="D3" s="5">
        <f t="shared" si="0"/>
        <v>1</v>
      </c>
      <c r="E3" s="5">
        <f t="shared" si="0"/>
        <v>1</v>
      </c>
      <c r="F3" s="5">
        <f t="shared" si="0"/>
        <v>1</v>
      </c>
      <c r="G3" s="5">
        <f t="shared" si="0"/>
        <v>1</v>
      </c>
      <c r="H3" s="5">
        <f t="shared" si="0"/>
        <v>1</v>
      </c>
      <c r="I3" s="5">
        <f t="shared" si="0"/>
        <v>1</v>
      </c>
      <c r="J3" s="5">
        <f t="shared" si="0"/>
        <v>1</v>
      </c>
      <c r="K3" s="5">
        <f t="shared" si="0"/>
        <v>1</v>
      </c>
      <c r="L3" s="5">
        <f t="shared" si="0"/>
        <v>1</v>
      </c>
    </row>
    <row r="4" spans="1:12" x14ac:dyDescent="0.25">
      <c r="A4" t="s">
        <v>59</v>
      </c>
      <c r="B4">
        <v>0</v>
      </c>
      <c r="C4">
        <v>120</v>
      </c>
      <c r="D4">
        <v>240</v>
      </c>
      <c r="E4">
        <v>240</v>
      </c>
      <c r="F4">
        <v>240</v>
      </c>
      <c r="G4">
        <v>240</v>
      </c>
      <c r="H4">
        <v>240</v>
      </c>
      <c r="I4">
        <v>240</v>
      </c>
      <c r="J4">
        <v>240</v>
      </c>
      <c r="K4">
        <v>240</v>
      </c>
      <c r="L4">
        <v>240</v>
      </c>
    </row>
    <row r="5" spans="1:12" x14ac:dyDescent="0.25">
      <c r="A5" t="s">
        <v>60</v>
      </c>
      <c r="B5" s="5">
        <f>B4/240</f>
        <v>0</v>
      </c>
      <c r="C5" s="5">
        <f t="shared" ref="C5:L5" si="1">C4/240</f>
        <v>0.5</v>
      </c>
      <c r="D5" s="5">
        <f t="shared" si="1"/>
        <v>1</v>
      </c>
      <c r="E5" s="5">
        <f t="shared" si="1"/>
        <v>1</v>
      </c>
      <c r="F5" s="5">
        <f t="shared" si="1"/>
        <v>1</v>
      </c>
      <c r="G5" s="5">
        <f t="shared" si="1"/>
        <v>1</v>
      </c>
      <c r="H5" s="5">
        <f t="shared" si="1"/>
        <v>1</v>
      </c>
      <c r="I5" s="5">
        <f t="shared" si="1"/>
        <v>1</v>
      </c>
      <c r="J5" s="5">
        <f t="shared" si="1"/>
        <v>1</v>
      </c>
      <c r="K5" s="5">
        <f t="shared" si="1"/>
        <v>1</v>
      </c>
      <c r="L5" s="5">
        <f t="shared" si="1"/>
        <v>1</v>
      </c>
    </row>
    <row r="7" spans="1:12" x14ac:dyDescent="0.25">
      <c r="A7" t="s">
        <v>40</v>
      </c>
      <c r="B7" s="3">
        <f>Assumptions!$B$10*Assumptions!$B$11*Assumptions!$B$12*12*B5</f>
        <v>0</v>
      </c>
      <c r="C7" s="3">
        <f>Assumptions!$B$10*Assumptions!$B$11*Assumptions!$B$12*12*(1.02^B1)*C5</f>
        <v>2232576</v>
      </c>
      <c r="D7" s="3">
        <f>Assumptions!$B$10*Assumptions!$B$11*Assumptions!$B$12*12*(1.02^C1)*D5</f>
        <v>4554455.04</v>
      </c>
      <c r="E7" s="3">
        <f>Assumptions!$B$10*Assumptions!$B$11*Assumptions!$B$12*12*(1.02^D1)*E5</f>
        <v>4645544.1407999992</v>
      </c>
      <c r="F7" s="3">
        <f>Assumptions!$B$10*Assumptions!$B$11*Assumptions!$B$12*12*(1.02^E1)*F5</f>
        <v>4738455.0236160001</v>
      </c>
      <c r="G7" s="3">
        <f>Assumptions!$B$10*Assumptions!$B$11*Assumptions!$B$12*12*(1.02^F1)*G5</f>
        <v>4833224.1240883199</v>
      </c>
      <c r="H7" s="3">
        <f>Assumptions!$B$10*Assumptions!$B$11*Assumptions!$B$12*12*(1.02^G1)*H5</f>
        <v>4929888.6065700864</v>
      </c>
      <c r="I7" s="3">
        <f>Assumptions!$B$10*Assumptions!$B$11*Assumptions!$B$12*12*(1.02^H1)*I5</f>
        <v>5028486.3787014876</v>
      </c>
      <c r="J7" s="3">
        <f>Assumptions!$B$10*Assumptions!$B$11*Assumptions!$B$12*12*(1.02^I1)*J5</f>
        <v>5129056.1062755175</v>
      </c>
      <c r="K7" s="3">
        <f>Assumptions!$B$10*Assumptions!$B$11*Assumptions!$B$12*12*(1.02^J1)*K5</f>
        <v>5231637.2284010276</v>
      </c>
      <c r="L7" s="3">
        <f>Assumptions!$B$10*Assumptions!$B$11*Assumptions!$B$12*12*(1.02^K1)*L5</f>
        <v>5336269.9729690487</v>
      </c>
    </row>
    <row r="8" spans="1:12" x14ac:dyDescent="0.25">
      <c r="A8" t="s">
        <v>41</v>
      </c>
      <c r="B8" s="3">
        <f>Assumptions!B18*Assumptions!B20*Assumptions!B21</f>
        <v>390000</v>
      </c>
      <c r="C8" s="3">
        <f>B8*(Assumptions!$B24+1)</f>
        <v>397800</v>
      </c>
      <c r="D8" s="3">
        <f>C8*(Assumptions!$B24+1)</f>
        <v>405756</v>
      </c>
      <c r="E8" s="3">
        <f>D8*(Assumptions!$B24+1)</f>
        <v>413871.12</v>
      </c>
      <c r="F8" s="3">
        <f>E8*(Assumptions!$B24+1)</f>
        <v>422148.54239999998</v>
      </c>
      <c r="G8" s="3">
        <f>F8*(Assumptions!$B24+1)</f>
        <v>430591.513248</v>
      </c>
      <c r="H8" s="3">
        <f>G8*(Assumptions!$B24+1)</f>
        <v>439203.34351296001</v>
      </c>
      <c r="I8" s="3">
        <f>H8*(Assumptions!$B24+1)</f>
        <v>447987.41038321919</v>
      </c>
      <c r="J8" s="3">
        <f>I8*(Assumptions!$B24+1)</f>
        <v>456947.1585908836</v>
      </c>
      <c r="K8" s="3">
        <f>J8*(Assumptions!$B24+1)</f>
        <v>466086.10176270129</v>
      </c>
      <c r="L8" s="3">
        <f>K8*(Assumptions!$B24+1)</f>
        <v>475407.82379795535</v>
      </c>
    </row>
    <row r="9" spans="1:12" x14ac:dyDescent="0.25">
      <c r="A9" s="8" t="s">
        <v>42</v>
      </c>
      <c r="B9" s="3">
        <f>B7*(1-Assumptions!$B15)</f>
        <v>0</v>
      </c>
      <c r="C9" s="3">
        <f>C7*(1-Assumptions!$B15)</f>
        <v>111628.8000000001</v>
      </c>
      <c r="D9" s="3">
        <f>D7*(1-Assumptions!$B15)</f>
        <v>227722.75200000021</v>
      </c>
      <c r="E9" s="3">
        <f>E7*(1-Assumptions!$B15)</f>
        <v>232277.20704000015</v>
      </c>
      <c r="F9" s="3">
        <f>F7*(1-Assumptions!$B15)</f>
        <v>236922.7511808002</v>
      </c>
      <c r="G9" s="3">
        <f>G7*(1-Assumptions!$B15)</f>
        <v>241661.2062044162</v>
      </c>
      <c r="H9" s="3">
        <f>H7*(1-Assumptions!$B15)</f>
        <v>246494.43032850453</v>
      </c>
      <c r="I9" s="3">
        <f>I7*(1-Assumptions!$B15)</f>
        <v>251424.31893507461</v>
      </c>
      <c r="J9" s="3">
        <f>J7*(1-Assumptions!$B15)</f>
        <v>256452.8053137761</v>
      </c>
      <c r="K9" s="3">
        <f>K7*(1-Assumptions!$B15)</f>
        <v>261581.8614200516</v>
      </c>
      <c r="L9" s="3">
        <f>L7*(1-Assumptions!$B15)</f>
        <v>266813.49864845269</v>
      </c>
    </row>
    <row r="10" spans="1:12" x14ac:dyDescent="0.25">
      <c r="A10" s="8" t="s">
        <v>43</v>
      </c>
      <c r="B10" s="3">
        <f>B8*(1-Assumptions!$B19)</f>
        <v>28469.999999999982</v>
      </c>
      <c r="C10" s="3">
        <f>C8*(1-Assumptions!$B19)</f>
        <v>29039.399999999983</v>
      </c>
      <c r="D10" s="3">
        <f>D8*(1-Assumptions!$B19)</f>
        <v>29620.18799999998</v>
      </c>
      <c r="E10" s="3">
        <f>E8*(1-Assumptions!$B19)</f>
        <v>30212.591759999981</v>
      </c>
      <c r="F10" s="3">
        <f>F8*(1-Assumptions!$B19)</f>
        <v>30816.843595199978</v>
      </c>
      <c r="G10" s="3">
        <f>G8*(1-Assumptions!$B19)</f>
        <v>31433.180467103979</v>
      </c>
      <c r="H10" s="3">
        <f>H8*(1-Assumptions!$B19)</f>
        <v>32061.844076446061</v>
      </c>
      <c r="I10" s="3">
        <f>I8*(1-Assumptions!$B19)</f>
        <v>32703.08095797498</v>
      </c>
      <c r="J10" s="3">
        <f>J8*(1-Assumptions!$B19)</f>
        <v>33357.14257713448</v>
      </c>
      <c r="K10" s="3">
        <f>K8*(1-Assumptions!$B19)</f>
        <v>34024.285428677176</v>
      </c>
      <c r="L10" s="3">
        <f>L8*(1-Assumptions!$B19)</f>
        <v>34704.771137250718</v>
      </c>
    </row>
    <row r="11" spans="1:12" x14ac:dyDescent="0.25">
      <c r="A11" t="s">
        <v>13</v>
      </c>
      <c r="B11" s="3">
        <f>B7+B8-B9-B10</f>
        <v>361530</v>
      </c>
      <c r="C11" s="3">
        <f t="shared" ref="C11:K11" si="2">C7-C9</f>
        <v>2120947.1999999997</v>
      </c>
      <c r="D11" s="3">
        <f t="shared" si="2"/>
        <v>4326732.2879999997</v>
      </c>
      <c r="E11" s="3">
        <f t="shared" si="2"/>
        <v>4413266.9337599995</v>
      </c>
      <c r="F11" s="3">
        <f t="shared" si="2"/>
        <v>4501532.2724351995</v>
      </c>
      <c r="G11" s="3">
        <f t="shared" si="2"/>
        <v>4591562.9178839037</v>
      </c>
      <c r="H11" s="3">
        <f t="shared" si="2"/>
        <v>4683394.1762415823</v>
      </c>
      <c r="I11" s="3">
        <f t="shared" si="2"/>
        <v>4777062.0597664127</v>
      </c>
      <c r="J11" s="3">
        <f t="shared" si="2"/>
        <v>4872603.3009617412</v>
      </c>
      <c r="K11" s="3">
        <f t="shared" si="2"/>
        <v>4970055.3669809764</v>
      </c>
      <c r="L11" s="3">
        <f>L7-L9</f>
        <v>5069456.4743205961</v>
      </c>
    </row>
    <row r="12" spans="1:12" x14ac:dyDescent="0.25">
      <c r="A12" t="s">
        <v>14</v>
      </c>
      <c r="B12" s="3">
        <f>B11*Assumptions!$B23</f>
        <v>18076.5</v>
      </c>
      <c r="C12" s="3">
        <f>C11*Assumptions!$B23</f>
        <v>106047.35999999999</v>
      </c>
      <c r="D12" s="3">
        <f>D11*Assumptions!$B23</f>
        <v>216336.61439999999</v>
      </c>
      <c r="E12" s="3">
        <f>E11*Assumptions!$B23</f>
        <v>220663.34668799999</v>
      </c>
      <c r="F12" s="3">
        <f>F11*Assumptions!$B23</f>
        <v>225076.61362175999</v>
      </c>
      <c r="G12" s="3">
        <f>G11*Assumptions!$B23</f>
        <v>229578.14589419519</v>
      </c>
      <c r="H12" s="3">
        <f>H11*Assumptions!$B23</f>
        <v>234169.70881207913</v>
      </c>
      <c r="I12" s="3">
        <f>I11*Assumptions!$B23</f>
        <v>238853.10298832064</v>
      </c>
      <c r="J12" s="3">
        <f>J11*Assumptions!$B23</f>
        <v>243630.16504808707</v>
      </c>
      <c r="K12" s="3">
        <f>K11*Assumptions!$B23</f>
        <v>248502.76834904883</v>
      </c>
      <c r="L12" s="3">
        <f>L11*Assumptions!$B23</f>
        <v>253472.82371602982</v>
      </c>
    </row>
    <row r="13" spans="1:12" x14ac:dyDescent="0.25">
      <c r="A13" t="s">
        <v>15</v>
      </c>
      <c r="B13" s="3">
        <f>B11-B12</f>
        <v>343453.5</v>
      </c>
      <c r="C13" s="3">
        <f t="shared" ref="C13:L13" si="3">C11-C12</f>
        <v>2014899.8399999999</v>
      </c>
      <c r="D13" s="3">
        <f t="shared" si="3"/>
        <v>4110395.6735999999</v>
      </c>
      <c r="E13" s="3">
        <f t="shared" si="3"/>
        <v>4192603.5870719994</v>
      </c>
      <c r="F13" s="3">
        <f t="shared" si="3"/>
        <v>4276455.6588134393</v>
      </c>
      <c r="G13" s="3">
        <f t="shared" si="3"/>
        <v>4361984.7719897088</v>
      </c>
      <c r="H13" s="3">
        <f t="shared" si="3"/>
        <v>4449224.4674295029</v>
      </c>
      <c r="I13" s="3">
        <f t="shared" si="3"/>
        <v>4538208.9567780923</v>
      </c>
      <c r="J13" s="3">
        <f t="shared" si="3"/>
        <v>4628973.1359136542</v>
      </c>
      <c r="K13" s="3">
        <f t="shared" si="3"/>
        <v>4721552.5986319277</v>
      </c>
      <c r="L13" s="3">
        <f t="shared" si="3"/>
        <v>4815983.6506045666</v>
      </c>
    </row>
    <row r="14" spans="1:12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t="s">
        <v>16</v>
      </c>
      <c r="B15" s="3">
        <f t="shared" ref="B15:L15" si="4">B13</f>
        <v>343453.5</v>
      </c>
      <c r="C15" s="3">
        <f t="shared" si="4"/>
        <v>2014899.8399999999</v>
      </c>
      <c r="D15" s="3">
        <f t="shared" si="4"/>
        <v>4110395.6735999999</v>
      </c>
      <c r="E15" s="3">
        <f t="shared" si="4"/>
        <v>4192603.5870719994</v>
      </c>
      <c r="F15" s="3">
        <f t="shared" si="4"/>
        <v>4276455.6588134393</v>
      </c>
      <c r="G15" s="3">
        <f t="shared" si="4"/>
        <v>4361984.7719897088</v>
      </c>
      <c r="H15" s="3">
        <f t="shared" si="4"/>
        <v>4449224.4674295029</v>
      </c>
      <c r="I15" s="3">
        <f t="shared" si="4"/>
        <v>4538208.9567780923</v>
      </c>
      <c r="J15" s="3">
        <f t="shared" si="4"/>
        <v>4628973.1359136542</v>
      </c>
      <c r="K15" s="3">
        <f t="shared" si="4"/>
        <v>4721552.5986319277</v>
      </c>
      <c r="L15" s="3">
        <f t="shared" si="4"/>
        <v>4815983.6506045666</v>
      </c>
    </row>
    <row r="16" spans="1:12" x14ac:dyDescent="0.25">
      <c r="A16" t="s">
        <v>17</v>
      </c>
      <c r="B16" s="3">
        <f>Financing!$F4</f>
        <v>1318997.3873538445</v>
      </c>
      <c r="C16" s="3">
        <f>Financing!$F5</f>
        <v>1301467.2213467942</v>
      </c>
      <c r="D16" s="3">
        <f>Financing!$F6</f>
        <v>1283195.5549922804</v>
      </c>
      <c r="E16" s="3">
        <f>Financing!$F7</f>
        <v>1264151.0239116056</v>
      </c>
      <c r="F16" s="3">
        <f>Financing!$F8</f>
        <v>1244300.9370587883</v>
      </c>
      <c r="G16" s="3">
        <f>Financing!$F9</f>
        <v>1223611.2206044819</v>
      </c>
      <c r="H16" s="3">
        <f>Financing!$F10</f>
        <v>1202046.3594462622</v>
      </c>
      <c r="I16" s="3">
        <f>Financing!$F11</f>
        <v>1179569.3362448891</v>
      </c>
      <c r="J16" s="3">
        <f>Financing!$F12</f>
        <v>1156141.5678818868</v>
      </c>
      <c r="K16" s="3">
        <f>Financing!$F13</f>
        <v>1131722.8392293775</v>
      </c>
      <c r="L16" s="3"/>
    </row>
    <row r="17" spans="1:12" x14ac:dyDescent="0.25">
      <c r="A17" t="s">
        <v>18</v>
      </c>
      <c r="B17" s="3">
        <f>Financing!C20</f>
        <v>1322622.72</v>
      </c>
      <c r="C17" s="3">
        <f>Financing!$D$20</f>
        <v>1379940.48</v>
      </c>
      <c r="D17" s="3">
        <f>Financing!$D$20</f>
        <v>1379940.48</v>
      </c>
      <c r="E17" s="3">
        <f>Financing!$D$20</f>
        <v>1379940.48</v>
      </c>
      <c r="F17" s="3">
        <f>Financing!$D$20</f>
        <v>1379940.48</v>
      </c>
      <c r="G17" s="3">
        <f>Financing!$D$20</f>
        <v>1379940.48</v>
      </c>
      <c r="H17" s="3">
        <f>Financing!$D$20</f>
        <v>1379940.48</v>
      </c>
      <c r="I17" s="3">
        <f>Financing!$D$20</f>
        <v>1379940.48</v>
      </c>
      <c r="J17" s="3">
        <f>Financing!$D$20</f>
        <v>1379940.48</v>
      </c>
      <c r="K17" s="3">
        <f>Financing!C20</f>
        <v>1322622.72</v>
      </c>
      <c r="L17" s="3"/>
    </row>
    <row r="18" spans="1:12" x14ac:dyDescent="0.25">
      <c r="A18" t="s">
        <v>19</v>
      </c>
      <c r="B18" s="3">
        <f>Financing!$B$22</f>
        <v>20571.428571428572</v>
      </c>
      <c r="C18" s="3">
        <f>Financing!$B$22</f>
        <v>20571.428571428572</v>
      </c>
      <c r="D18" s="3">
        <f>Financing!$B$22</f>
        <v>20571.428571428572</v>
      </c>
      <c r="E18" s="3">
        <f>Financing!$B$22</f>
        <v>20571.428571428572</v>
      </c>
      <c r="F18" s="3">
        <f>Financing!$B$22</f>
        <v>20571.428571428572</v>
      </c>
      <c r="G18" s="3">
        <f>Financing!$B$22</f>
        <v>20571.428571428572</v>
      </c>
      <c r="H18" s="3">
        <f>Financing!$B$22</f>
        <v>20571.428571428572</v>
      </c>
      <c r="I18" s="3">
        <f>Financing!$B$22</f>
        <v>20571.428571428572</v>
      </c>
      <c r="J18" s="3">
        <f>Financing!$B$22</f>
        <v>20571.428571428572</v>
      </c>
      <c r="K18" s="3">
        <f>Financing!$B$22</f>
        <v>20571.428571428572</v>
      </c>
      <c r="L18" s="3"/>
    </row>
    <row r="19" spans="1:12" x14ac:dyDescent="0.25">
      <c r="A19" t="s">
        <v>20</v>
      </c>
      <c r="B19" s="3">
        <f>B15-B16-B17-B18</f>
        <v>-2318738.0359252733</v>
      </c>
      <c r="C19" s="3">
        <f>C15-C16-C17-C18</f>
        <v>-687079.28991822281</v>
      </c>
      <c r="D19" s="3">
        <f>D15-D16-D17-D18</f>
        <v>1426688.2100362908</v>
      </c>
      <c r="E19" s="3">
        <f>E15-E16-E17-E18</f>
        <v>1527940.6545889652</v>
      </c>
      <c r="F19" s="3">
        <f>F15-F16-F17-F18</f>
        <v>1631642.8131832224</v>
      </c>
      <c r="G19" s="3">
        <f t="shared" ref="G19:K19" si="5">G15-G16-G17-G18</f>
        <v>1737861.642813798</v>
      </c>
      <c r="H19" s="3">
        <f t="shared" si="5"/>
        <v>1846666.1994118122</v>
      </c>
      <c r="I19" s="3">
        <f t="shared" si="5"/>
        <v>1958127.7119617746</v>
      </c>
      <c r="J19" s="3">
        <f t="shared" si="5"/>
        <v>2072319.6594603388</v>
      </c>
      <c r="K19" s="3">
        <f t="shared" si="5"/>
        <v>2246635.6108311214</v>
      </c>
      <c r="L19" s="3"/>
    </row>
    <row r="20" spans="1:12" x14ac:dyDescent="0.25">
      <c r="A20" t="s">
        <v>21</v>
      </c>
      <c r="B20" s="3">
        <f>0.35*B19</f>
        <v>-811558.31257384561</v>
      </c>
      <c r="C20" s="3">
        <f>0.35*C19</f>
        <v>-240477.75147137797</v>
      </c>
      <c r="D20" s="3">
        <f>0.35*D19</f>
        <v>499340.87351270177</v>
      </c>
      <c r="E20" s="3">
        <f>0.35*E19</f>
        <v>534779.22910613776</v>
      </c>
      <c r="F20" s="3">
        <f>0.35*F19</f>
        <v>571074.98461412778</v>
      </c>
      <c r="G20" s="3">
        <f t="shared" ref="G20:K20" si="6">0.35*G19</f>
        <v>608251.57498482929</v>
      </c>
      <c r="H20" s="3">
        <f t="shared" si="6"/>
        <v>646333.16979413421</v>
      </c>
      <c r="I20" s="3">
        <f t="shared" si="6"/>
        <v>685344.69918662112</v>
      </c>
      <c r="J20" s="3">
        <f t="shared" si="6"/>
        <v>725311.88081111852</v>
      </c>
      <c r="K20" s="3">
        <f t="shared" si="6"/>
        <v>786322.46379089251</v>
      </c>
      <c r="L20" s="3"/>
    </row>
    <row r="21" spans="1:12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t="s">
        <v>16</v>
      </c>
      <c r="B22" s="3">
        <f>B15</f>
        <v>343453.5</v>
      </c>
      <c r="C22" s="3">
        <f>C15</f>
        <v>2014899.8399999999</v>
      </c>
      <c r="D22" s="3">
        <f>D15</f>
        <v>4110395.6735999999</v>
      </c>
      <c r="E22" s="3">
        <f>E15</f>
        <v>4192603.5870719994</v>
      </c>
      <c r="F22" s="3">
        <f>F15</f>
        <v>4276455.6588134393</v>
      </c>
      <c r="G22" s="3">
        <f t="shared" ref="G22:K22" si="7">G15</f>
        <v>4361984.7719897088</v>
      </c>
      <c r="H22" s="3">
        <f t="shared" si="7"/>
        <v>4449224.4674295029</v>
      </c>
      <c r="I22" s="3">
        <f t="shared" si="7"/>
        <v>4538208.9567780923</v>
      </c>
      <c r="J22" s="3">
        <f t="shared" si="7"/>
        <v>4628973.1359136542</v>
      </c>
      <c r="K22" s="3">
        <f t="shared" si="7"/>
        <v>4721552.5986319277</v>
      </c>
      <c r="L22" s="3"/>
    </row>
    <row r="23" spans="1:12" x14ac:dyDescent="0.25">
      <c r="A23" t="s">
        <v>22</v>
      </c>
      <c r="B23" s="3">
        <f>Financing!$B15</f>
        <v>1733436.4652127889</v>
      </c>
      <c r="C23" s="3">
        <f>Financing!$B15</f>
        <v>1733436.4652127889</v>
      </c>
      <c r="D23" s="3">
        <f>Financing!$B15</f>
        <v>1733436.4652127889</v>
      </c>
      <c r="E23" s="3">
        <f>Financing!$B15</f>
        <v>1733436.4652127889</v>
      </c>
      <c r="F23" s="3">
        <f>Financing!$B15</f>
        <v>1733436.4652127889</v>
      </c>
      <c r="G23" s="3">
        <f>Financing!$B15</f>
        <v>1733436.4652127889</v>
      </c>
      <c r="H23" s="3">
        <f>Financing!$B15</f>
        <v>1733436.4652127889</v>
      </c>
      <c r="I23" s="3">
        <f>Financing!$B15</f>
        <v>1733436.4652127889</v>
      </c>
      <c r="J23" s="3">
        <f>Financing!$B15</f>
        <v>1733436.4652127889</v>
      </c>
      <c r="K23" s="3">
        <f>Financing!$B15</f>
        <v>1733436.4652127889</v>
      </c>
      <c r="L23" s="3"/>
    </row>
    <row r="24" spans="1:12" x14ac:dyDescent="0.25">
      <c r="A24" t="s">
        <v>23</v>
      </c>
      <c r="B24" s="3">
        <f>B22-B23</f>
        <v>-1389982.9652127889</v>
      </c>
      <c r="C24" s="3">
        <f t="shared" ref="C24:K24" si="8">C22-C23</f>
        <v>281463.37478721095</v>
      </c>
      <c r="D24" s="3">
        <f t="shared" si="8"/>
        <v>2376959.208387211</v>
      </c>
      <c r="E24" s="3">
        <f t="shared" si="8"/>
        <v>2459167.1218592105</v>
      </c>
      <c r="F24" s="3">
        <f t="shared" si="8"/>
        <v>2543019.1936006504</v>
      </c>
      <c r="G24" s="3">
        <f t="shared" si="8"/>
        <v>2628548.3067769199</v>
      </c>
      <c r="H24" s="3">
        <f t="shared" si="8"/>
        <v>2715788.002216714</v>
      </c>
      <c r="I24" s="3">
        <f t="shared" si="8"/>
        <v>2804772.4915653034</v>
      </c>
      <c r="J24" s="3">
        <f t="shared" si="8"/>
        <v>2895536.6707008653</v>
      </c>
      <c r="K24" s="3">
        <f t="shared" si="8"/>
        <v>2988116.1334191388</v>
      </c>
      <c r="L24" s="3"/>
    </row>
    <row r="25" spans="1:12" x14ac:dyDescent="0.25">
      <c r="A25" t="s">
        <v>24</v>
      </c>
      <c r="B25" s="3">
        <f>B20</f>
        <v>-811558.31257384561</v>
      </c>
      <c r="C25" s="3">
        <f t="shared" ref="C25:K25" si="9">C20</f>
        <v>-240477.75147137797</v>
      </c>
      <c r="D25" s="3">
        <f t="shared" si="9"/>
        <v>499340.87351270177</v>
      </c>
      <c r="E25" s="3">
        <f t="shared" si="9"/>
        <v>534779.22910613776</v>
      </c>
      <c r="F25" s="3">
        <f t="shared" si="9"/>
        <v>571074.98461412778</v>
      </c>
      <c r="G25" s="3">
        <f t="shared" si="9"/>
        <v>608251.57498482929</v>
      </c>
      <c r="H25" s="3">
        <f t="shared" si="9"/>
        <v>646333.16979413421</v>
      </c>
      <c r="I25" s="3">
        <f t="shared" si="9"/>
        <v>685344.69918662112</v>
      </c>
      <c r="J25" s="3">
        <f t="shared" si="9"/>
        <v>725311.88081111852</v>
      </c>
      <c r="K25" s="3">
        <f t="shared" si="9"/>
        <v>786322.46379089251</v>
      </c>
      <c r="L25" s="3"/>
    </row>
    <row r="26" spans="1:12" x14ac:dyDescent="0.25">
      <c r="A26" t="s">
        <v>25</v>
      </c>
      <c r="B26" s="3">
        <f>B24-B25</f>
        <v>-578424.65263894328</v>
      </c>
      <c r="C26" s="3">
        <f t="shared" ref="C26:K26" si="10">C24-C25</f>
        <v>521941.12625858892</v>
      </c>
      <c r="D26" s="3">
        <f t="shared" si="10"/>
        <v>1877618.3348745091</v>
      </c>
      <c r="E26" s="3">
        <f t="shared" si="10"/>
        <v>1924387.8927530728</v>
      </c>
      <c r="F26" s="3">
        <f t="shared" si="10"/>
        <v>1971944.2089865226</v>
      </c>
      <c r="G26" s="3">
        <f t="shared" si="10"/>
        <v>2020296.7317920905</v>
      </c>
      <c r="H26" s="3">
        <f t="shared" si="10"/>
        <v>2069454.8324225796</v>
      </c>
      <c r="I26" s="3">
        <f t="shared" si="10"/>
        <v>2119427.7923786822</v>
      </c>
      <c r="J26" s="3">
        <f t="shared" si="10"/>
        <v>2170224.7898897468</v>
      </c>
      <c r="K26" s="3">
        <f t="shared" si="10"/>
        <v>2201793.6696282462</v>
      </c>
      <c r="L26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B17" sqref="B17"/>
    </sheetView>
  </sheetViews>
  <sheetFormatPr defaultRowHeight="15" x14ac:dyDescent="0.25"/>
  <cols>
    <col min="3" max="3" width="15" bestFit="1" customWidth="1"/>
  </cols>
  <sheetData>
    <row r="2" spans="2:3" x14ac:dyDescent="0.25">
      <c r="B2" t="s">
        <v>56</v>
      </c>
    </row>
    <row r="3" spans="2:3" x14ac:dyDescent="0.25">
      <c r="B3" s="7">
        <v>0</v>
      </c>
      <c r="C3" s="3">
        <f>-Financing!B9</f>
        <v>-6548400.0000000019</v>
      </c>
    </row>
    <row r="4" spans="2:3" x14ac:dyDescent="0.25">
      <c r="B4" s="7">
        <v>1</v>
      </c>
      <c r="C4" s="3">
        <f>Cashflow!B$26</f>
        <v>-578424.65263894328</v>
      </c>
    </row>
    <row r="5" spans="2:3" x14ac:dyDescent="0.25">
      <c r="B5" s="7">
        <v>2</v>
      </c>
      <c r="C5" s="3">
        <f>Cashflow!C$26</f>
        <v>521941.12625858892</v>
      </c>
    </row>
    <row r="6" spans="2:3" x14ac:dyDescent="0.25">
      <c r="B6" s="7">
        <v>3</v>
      </c>
      <c r="C6" s="3">
        <f>Cashflow!D$26</f>
        <v>1877618.3348745091</v>
      </c>
    </row>
    <row r="7" spans="2:3" x14ac:dyDescent="0.25">
      <c r="B7" s="7">
        <v>4</v>
      </c>
      <c r="C7" s="3">
        <f>Cashflow!E$26</f>
        <v>1924387.8927530728</v>
      </c>
    </row>
    <row r="8" spans="2:3" x14ac:dyDescent="0.25">
      <c r="B8" s="7">
        <v>5</v>
      </c>
      <c r="C8" s="3">
        <f>Cashflow!F$26</f>
        <v>1971944.2089865226</v>
      </c>
    </row>
    <row r="9" spans="2:3" x14ac:dyDescent="0.25">
      <c r="B9" s="7">
        <v>6</v>
      </c>
      <c r="C9" s="3">
        <f>Cashflow!G$26</f>
        <v>2020296.7317920905</v>
      </c>
    </row>
    <row r="10" spans="2:3" x14ac:dyDescent="0.25">
      <c r="B10" s="7">
        <v>7</v>
      </c>
      <c r="C10" s="3">
        <f>Cashflow!H$26</f>
        <v>2069454.8324225796</v>
      </c>
    </row>
    <row r="11" spans="2:3" x14ac:dyDescent="0.25">
      <c r="B11" s="7">
        <v>8</v>
      </c>
      <c r="C11" s="3">
        <f>Cashflow!I$26</f>
        <v>2119427.7923786822</v>
      </c>
    </row>
    <row r="12" spans="2:3" x14ac:dyDescent="0.25">
      <c r="B12" s="7">
        <v>9</v>
      </c>
      <c r="C12" s="3">
        <f>Cashflow!J$26</f>
        <v>2170224.7898897468</v>
      </c>
    </row>
    <row r="13" spans="2:3" x14ac:dyDescent="0.25">
      <c r="B13" s="7">
        <v>10</v>
      </c>
      <c r="C13" s="3">
        <f>Cashflow!K$26</f>
        <v>2201793.6696282462</v>
      </c>
    </row>
    <row r="15" spans="2:3" x14ac:dyDescent="0.25">
      <c r="B15" s="7" t="s">
        <v>57</v>
      </c>
      <c r="C15" s="12">
        <f>IRR(C3:C13)</f>
        <v>0.15472758730235414</v>
      </c>
    </row>
    <row r="16" spans="2:3" x14ac:dyDescent="0.25">
      <c r="B16" s="7"/>
      <c r="C16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ExcelOBA xmlns="urn:argussoftware-com.Argus.ExcelOBA"/>
</file>

<file path=customXml/itemProps1.xml><?xml version="1.0" encoding="utf-8"?>
<ds:datastoreItem xmlns:ds="http://schemas.openxmlformats.org/officeDocument/2006/customXml" ds:itemID="{2726217D-872E-4ACB-B32B-00B2F1083A2E}">
  <ds:schemaRefs>
    <ds:schemaRef ds:uri="urn:argussoftware-com.Argus.ExcelO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</vt:lpstr>
      <vt:lpstr>Financing</vt:lpstr>
      <vt:lpstr>Cashflow</vt:lpstr>
      <vt:lpstr>Returns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Louis</cp:lastModifiedBy>
  <cp:lastPrinted>2012-04-13T16:06:20Z</cp:lastPrinted>
  <dcterms:created xsi:type="dcterms:W3CDTF">2012-04-05T14:57:17Z</dcterms:created>
  <dcterms:modified xsi:type="dcterms:W3CDTF">2012-04-13T16:06:35Z</dcterms:modified>
</cp:coreProperties>
</file>